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<sst xmlns="http://schemas.openxmlformats.org/spreadsheetml/2006/main" count="194" uniqueCount="88">
  <si>
    <t>газ 1</t>
  </si>
  <si>
    <t>газ 2</t>
  </si>
  <si>
    <t>n</t>
  </si>
  <si>
    <t>Не</t>
  </si>
  <si>
    <t>№</t>
  </si>
  <si>
    <t>Проц. 1-2</t>
  </si>
  <si>
    <t>v=const</t>
  </si>
  <si>
    <t>p=const</t>
  </si>
  <si>
    <r>
      <t>Р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МПа</t>
    </r>
  </si>
  <si>
    <r>
      <t>t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,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</si>
  <si>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r>
      <t>v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/кг</t>
    </r>
  </si>
  <si>
    <r>
      <t>Р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МПа</t>
    </r>
  </si>
  <si>
    <r>
      <t>v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/кг</t>
    </r>
  </si>
  <si>
    <r>
      <t>t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,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</si>
  <si>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t>T=const</t>
  </si>
  <si>
    <t>s=const</t>
  </si>
  <si>
    <t>n=const</t>
  </si>
  <si>
    <t>Проц. 2-3</t>
  </si>
  <si>
    <r>
      <t>Р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МПа</t>
    </r>
  </si>
  <si>
    <r>
      <t>t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,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</si>
  <si>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r>
      <t>v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/кг</t>
    </r>
  </si>
  <si>
    <r>
      <t>x</t>
    </r>
    <r>
      <rPr>
        <b/>
        <vertAlign val="subscript"/>
        <sz val="12"/>
        <rFont val="Times New Roman"/>
        <family val="1"/>
      </rPr>
      <t>1</t>
    </r>
  </si>
  <si>
    <r>
      <t>x</t>
    </r>
    <r>
      <rPr>
        <b/>
        <vertAlign val="subscript"/>
        <sz val="12"/>
        <rFont val="Times New Roman"/>
        <family val="1"/>
      </rPr>
      <t>2</t>
    </r>
  </si>
  <si>
    <t>Hе</t>
  </si>
  <si>
    <t xml:space="preserve">По последней цифре шрифта выбирается строчка в колонке №, </t>
  </si>
  <si>
    <t>программа выдает одну из характеристик смеси.</t>
  </si>
  <si>
    <t>Величины данной строчки будут исходными данными задания 1.1.</t>
  </si>
  <si>
    <r>
      <t>N</t>
    </r>
    <r>
      <rPr>
        <b/>
        <vertAlign val="subscript"/>
        <sz val="10"/>
        <rFont val="Arial Cyr"/>
        <family val="0"/>
      </rPr>
      <t>4</t>
    </r>
  </si>
  <si>
    <r>
      <t>N</t>
    </r>
    <r>
      <rPr>
        <b/>
        <vertAlign val="subscript"/>
        <sz val="10"/>
        <rFont val="Arial Cyr"/>
        <family val="0"/>
      </rPr>
      <t>5</t>
    </r>
  </si>
  <si>
    <t>Величины данной строчки будут исходными данными задания 1.2.</t>
  </si>
  <si>
    <t>программа выдает параметры газа в начале и конце заданного прооцесса.</t>
  </si>
  <si>
    <t>Величины данной строчки будут исходными данными задания 2.</t>
  </si>
  <si>
    <r>
      <t xml:space="preserve">Исходные данные для задания 1.1 КР1 "Расчет процессов смеси идеальных газов" </t>
    </r>
    <r>
      <rPr>
        <b/>
        <sz val="10"/>
        <color indexed="60"/>
        <rFont val="Arial Cyr"/>
        <family val="0"/>
      </rPr>
      <t>(характеристики смеси табл. 2.1 методических указаний)</t>
    </r>
  </si>
  <si>
    <r>
      <t xml:space="preserve">Исходные данные для задания 1.2 КР1 "Расчет процессов смеси идеальных газов" </t>
    </r>
    <r>
      <rPr>
        <b/>
        <sz val="10"/>
        <color indexed="60"/>
        <rFont val="Arial Cyr"/>
        <family val="0"/>
      </rPr>
      <t>(характеристики процесса табл. 2.2 методических указаний)</t>
    </r>
  </si>
  <si>
    <t>программа выдает параметры воздуха в начале и конце заданных прооцессов.</t>
  </si>
  <si>
    <t>программа выдает параметры водяного пара в начале и конце заданного прооцесса.</t>
  </si>
  <si>
    <t>Величины данной строчки будут исходными данными задания 3.</t>
  </si>
  <si>
    <t xml:space="preserve">В, </t>
  </si>
  <si>
    <r>
      <t>Р</t>
    </r>
    <r>
      <rPr>
        <b/>
        <vertAlign val="subscript"/>
        <sz val="10"/>
        <rFont val="Times New Roman"/>
        <family val="1"/>
      </rPr>
      <t>п1</t>
    </r>
    <r>
      <rPr>
        <b/>
        <sz val="10"/>
        <rFont val="Times New Roman"/>
        <family val="1"/>
      </rPr>
      <t xml:space="preserve">, </t>
    </r>
  </si>
  <si>
    <r>
      <t>t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, </t>
    </r>
  </si>
  <si>
    <r>
      <t>t</t>
    </r>
    <r>
      <rPr>
        <b/>
        <vertAlign val="subscript"/>
        <sz val="10"/>
        <rFont val="Times New Roman"/>
        <family val="1"/>
      </rPr>
      <t>росы1</t>
    </r>
    <r>
      <rPr>
        <b/>
        <sz val="10"/>
        <rFont val="Times New Roman"/>
        <family val="1"/>
      </rPr>
      <t xml:space="preserve">, </t>
    </r>
  </si>
  <si>
    <r>
      <t>d</t>
    </r>
    <r>
      <rPr>
        <b/>
        <vertAlign val="subscript"/>
        <sz val="12"/>
        <rFont val="Times New Roman"/>
        <family val="1"/>
      </rPr>
      <t>п1</t>
    </r>
  </si>
  <si>
    <t>Проц.</t>
  </si>
  <si>
    <r>
      <t>Р</t>
    </r>
    <r>
      <rPr>
        <b/>
        <vertAlign val="subscript"/>
        <sz val="10"/>
        <rFont val="Times New Roman"/>
        <family val="1"/>
      </rPr>
      <t>п2</t>
    </r>
    <r>
      <rPr>
        <b/>
        <sz val="10"/>
        <rFont val="Times New Roman"/>
        <family val="1"/>
      </rPr>
      <t xml:space="preserve">, </t>
    </r>
  </si>
  <si>
    <r>
      <t>t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, </t>
    </r>
  </si>
  <si>
    <r>
      <t>t</t>
    </r>
    <r>
      <rPr>
        <b/>
        <vertAlign val="subscript"/>
        <sz val="10"/>
        <rFont val="Times New Roman"/>
        <family val="1"/>
      </rPr>
      <t>росы2</t>
    </r>
    <r>
      <rPr>
        <b/>
        <sz val="10"/>
        <rFont val="Times New Roman"/>
        <family val="1"/>
      </rPr>
      <t xml:space="preserve">, </t>
    </r>
  </si>
  <si>
    <r>
      <t>d</t>
    </r>
    <r>
      <rPr>
        <b/>
        <vertAlign val="subscript"/>
        <sz val="12"/>
        <rFont val="Times New Roman"/>
        <family val="1"/>
      </rPr>
      <t>п2</t>
    </r>
  </si>
  <si>
    <t xml:space="preserve"> мм рт.ст.</t>
  </si>
  <si>
    <r>
      <t xml:space="preserve"> </t>
    </r>
    <r>
      <rPr>
        <b/>
        <vertAlign val="superscript"/>
        <sz val="10"/>
        <rFont val="Arial Cyr"/>
        <family val="0"/>
      </rPr>
      <t>о</t>
    </r>
    <r>
      <rPr>
        <b/>
        <sz val="10"/>
        <rFont val="Arial Cyr"/>
        <family val="0"/>
      </rPr>
      <t>С</t>
    </r>
  </si>
  <si>
    <t>г/(кг с.в.)</t>
  </si>
  <si>
    <r>
      <t>1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-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2</t>
    </r>
  </si>
  <si>
    <t>нагрев</t>
  </si>
  <si>
    <t>охлажд.</t>
  </si>
  <si>
    <t>ид.сушка</t>
  </si>
  <si>
    <t>программа выдает параметры влажного воздуха в начале и конце заданного прооцесса.</t>
  </si>
  <si>
    <t>Величины данной строчки будут исходными данными задания 4.</t>
  </si>
  <si>
    <r>
      <rPr>
        <b/>
        <sz val="12"/>
        <rFont val="Symbol"/>
        <family val="1"/>
      </rPr>
      <t>j</t>
    </r>
    <r>
      <rPr>
        <b/>
        <vertAlign val="subscript"/>
        <sz val="12"/>
        <rFont val="Times New Roman"/>
        <family val="1"/>
      </rPr>
      <t>1</t>
    </r>
  </si>
  <si>
    <r>
      <rPr>
        <b/>
        <sz val="12"/>
        <rFont val="Symbol"/>
        <family val="1"/>
      </rPr>
      <t>j</t>
    </r>
    <r>
      <rPr>
        <b/>
        <vertAlign val="subscript"/>
        <sz val="12"/>
        <rFont val="Times New Roman"/>
        <family val="1"/>
      </rPr>
      <t>2</t>
    </r>
  </si>
  <si>
    <t>%</t>
  </si>
  <si>
    <t xml:space="preserve">По последней цифре шифра выбирается строчка в колонке №, </t>
  </si>
  <si>
    <r>
      <t>в колонках N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и N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ставятся четвертая и пятая цифры шифра, </t>
    </r>
    <r>
      <rPr>
        <sz val="12"/>
        <color indexed="10"/>
        <rFont val="Arial"/>
        <family val="2"/>
      </rPr>
      <t>по завершении ввода этих цифр неоходимо выйти из поля таблицы !</t>
    </r>
  </si>
  <si>
    <t>Для студентов заочного факультета ИГЭУ, изучающих курс "Техническая термодинамика" часть 1</t>
  </si>
  <si>
    <t>кг/кмоль</t>
  </si>
  <si>
    <r>
      <t>Дж/(кг</t>
    </r>
    <r>
      <rPr>
        <sz val="10"/>
        <rFont val="Arial"/>
        <family val="2"/>
      </rPr>
      <t>·</t>
    </r>
    <r>
      <rPr>
        <sz val="10"/>
        <rFont val="Arial Cyr"/>
        <family val="0"/>
      </rPr>
      <t>К)</t>
    </r>
  </si>
  <si>
    <t>Дж</t>
  </si>
  <si>
    <r>
      <t>кмоль</t>
    </r>
    <r>
      <rPr>
        <sz val="10"/>
        <rFont val="Arial"/>
        <family val="2"/>
      </rPr>
      <t>·</t>
    </r>
    <r>
      <rPr>
        <sz val="10"/>
        <rFont val="Arial Cyr"/>
        <family val="0"/>
      </rPr>
      <t>К</t>
    </r>
  </si>
  <si>
    <r>
      <t>N</t>
    </r>
    <r>
      <rPr>
        <vertAlign val="subscript"/>
        <sz val="12"/>
        <rFont val="Arial Cyr"/>
        <family val="0"/>
      </rPr>
      <t>4</t>
    </r>
  </si>
  <si>
    <r>
      <t>N</t>
    </r>
    <r>
      <rPr>
        <vertAlign val="subscript"/>
        <sz val="12"/>
        <rFont val="Arial Cyr"/>
        <family val="0"/>
      </rPr>
      <t>5</t>
    </r>
  </si>
  <si>
    <r>
      <t>R</t>
    </r>
    <r>
      <rPr>
        <vertAlign val="subscript"/>
        <sz val="12"/>
        <rFont val="Arial Cyr"/>
        <family val="0"/>
      </rPr>
      <t>см</t>
    </r>
    <r>
      <rPr>
        <sz val="12"/>
        <rFont val="Arial Cyr"/>
        <family val="0"/>
      </rPr>
      <t>,</t>
    </r>
  </si>
  <si>
    <r>
      <t>с</t>
    </r>
    <r>
      <rPr>
        <vertAlign val="subscript"/>
        <sz val="12"/>
        <rFont val="Arial"/>
        <family val="2"/>
      </rPr>
      <t>vсм</t>
    </r>
  </si>
  <si>
    <r>
      <t>с</t>
    </r>
    <r>
      <rPr>
        <vertAlign val="subscript"/>
        <sz val="12"/>
        <rFont val="Arial"/>
        <family val="2"/>
      </rPr>
      <t>рсм</t>
    </r>
  </si>
  <si>
    <r>
      <rPr>
        <sz val="12"/>
        <rFont val="Calibri"/>
        <family val="2"/>
      </rPr>
      <t>µ</t>
    </r>
    <r>
      <rPr>
        <vertAlign val="subscript"/>
        <sz val="12"/>
        <rFont val="Arial"/>
        <family val="2"/>
      </rPr>
      <t>см</t>
    </r>
    <r>
      <rPr>
        <sz val="12"/>
        <rFont val="Arial"/>
        <family val="2"/>
      </rPr>
      <t>,</t>
    </r>
  </si>
  <si>
    <r>
      <rPr>
        <sz val="12"/>
        <rFont val="Calibri"/>
        <family val="2"/>
      </rPr>
      <t>µ</t>
    </r>
    <r>
      <rPr>
        <vertAlign val="subscript"/>
        <sz val="12"/>
        <rFont val="Arial Cyr"/>
        <family val="0"/>
      </rPr>
      <t>2</t>
    </r>
    <r>
      <rPr>
        <sz val="12"/>
        <rFont val="Arial Cyr"/>
        <family val="0"/>
      </rPr>
      <t>,</t>
    </r>
  </si>
  <si>
    <r>
      <rPr>
        <sz val="12"/>
        <rFont val="Calibri"/>
        <family val="2"/>
      </rPr>
      <t>µ</t>
    </r>
    <r>
      <rPr>
        <vertAlign val="subscript"/>
        <sz val="12"/>
        <rFont val="Arial"/>
        <family val="2"/>
      </rPr>
      <t>1</t>
    </r>
    <r>
      <rPr>
        <sz val="12"/>
        <rFont val="Arial Cyr"/>
        <family val="0"/>
      </rPr>
      <t>,</t>
    </r>
  </si>
  <si>
    <r>
      <rPr>
        <sz val="12"/>
        <rFont val="Calibri"/>
        <family val="2"/>
      </rPr>
      <t>µ</t>
    </r>
    <r>
      <rPr>
        <sz val="12"/>
        <rFont val="Arial"/>
        <family val="2"/>
      </rPr>
      <t>с</t>
    </r>
    <r>
      <rPr>
        <vertAlign val="subscript"/>
        <sz val="12"/>
        <rFont val="Arial"/>
        <family val="2"/>
      </rPr>
      <t>pсм</t>
    </r>
  </si>
  <si>
    <r>
      <rPr>
        <sz val="12"/>
        <rFont val="Calibri"/>
        <family val="2"/>
      </rPr>
      <t>µ</t>
    </r>
    <r>
      <rPr>
        <sz val="12"/>
        <rFont val="Arial"/>
        <family val="2"/>
      </rPr>
      <t>с</t>
    </r>
    <r>
      <rPr>
        <vertAlign val="subscript"/>
        <sz val="12"/>
        <rFont val="Arial"/>
        <family val="2"/>
      </rPr>
      <t>vсм,</t>
    </r>
  </si>
  <si>
    <r>
      <t>О</t>
    </r>
    <r>
      <rPr>
        <b/>
        <vertAlign val="subscript"/>
        <sz val="12"/>
        <color indexed="12"/>
        <rFont val="Arial Cyr"/>
        <family val="0"/>
      </rPr>
      <t>2</t>
    </r>
  </si>
  <si>
    <r>
      <t>СО</t>
    </r>
    <r>
      <rPr>
        <b/>
        <vertAlign val="subscript"/>
        <sz val="12"/>
        <color indexed="12"/>
        <rFont val="Arial Cyr"/>
        <family val="0"/>
      </rPr>
      <t>2</t>
    </r>
  </si>
  <si>
    <r>
      <t>N</t>
    </r>
    <r>
      <rPr>
        <b/>
        <vertAlign val="subscript"/>
        <sz val="12"/>
        <color indexed="12"/>
        <rFont val="Arial Cyr"/>
        <family val="0"/>
      </rPr>
      <t>2</t>
    </r>
  </si>
  <si>
    <r>
      <t>H</t>
    </r>
    <r>
      <rPr>
        <b/>
        <vertAlign val="subscript"/>
        <sz val="12"/>
        <color indexed="12"/>
        <rFont val="Arial Cyr"/>
        <family val="0"/>
      </rPr>
      <t>2</t>
    </r>
  </si>
  <si>
    <r>
      <t>СH</t>
    </r>
    <r>
      <rPr>
        <b/>
        <vertAlign val="subscript"/>
        <sz val="12"/>
        <color indexed="12"/>
        <rFont val="Arial Cyr"/>
        <family val="0"/>
      </rPr>
      <t>4</t>
    </r>
  </si>
  <si>
    <r>
      <t>NH</t>
    </r>
    <r>
      <rPr>
        <b/>
        <vertAlign val="subscript"/>
        <sz val="12"/>
        <color indexed="12"/>
        <rFont val="Arial Cyr"/>
        <family val="0"/>
      </rPr>
      <t>3</t>
    </r>
  </si>
  <si>
    <r>
      <t>CH</t>
    </r>
    <r>
      <rPr>
        <b/>
        <vertAlign val="subscript"/>
        <sz val="12"/>
        <color indexed="12"/>
        <rFont val="Arial Cyr"/>
        <family val="0"/>
      </rPr>
      <t>4</t>
    </r>
  </si>
  <si>
    <t>Активировать  здесь</t>
  </si>
  <si>
    <t>Активировать здесь</t>
  </si>
  <si>
    <r>
      <t xml:space="preserve">Исходные данные для задания 2 КР1 "Расчет процессов идеального воздуха" </t>
    </r>
    <r>
      <rPr>
        <b/>
        <sz val="10"/>
        <color indexed="60"/>
        <rFont val="Arial Cyr"/>
        <family val="0"/>
      </rPr>
      <t>(характеристики процессов табл. 2.7 методических указаний)</t>
    </r>
  </si>
  <si>
    <r>
      <t xml:space="preserve">Исходные данные для задания 3 КР2 "Расчет процессов воды и водяного пара" </t>
    </r>
    <r>
      <rPr>
        <b/>
        <sz val="10"/>
        <color indexed="60"/>
        <rFont val="Arial Cyr"/>
        <family val="0"/>
      </rPr>
      <t>(характеристики процессов табл. 2.9 методических указаний)</t>
    </r>
  </si>
  <si>
    <r>
      <t xml:space="preserve">Исходные данные для задания 4 КР2 "Расчет процессов влажного атмосферного воздуха" </t>
    </r>
    <r>
      <rPr>
        <b/>
        <sz val="10"/>
        <color indexed="60"/>
        <rFont val="Arial Cyr"/>
        <family val="0"/>
      </rPr>
      <t>(характеристики процессов табл. 2.12 методических указаний)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</si>
</sst>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Symbol"/>
      <family val="1"/>
    </font>
    <font>
      <b/>
      <sz val="8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color indexed="60"/>
      <name val="Arial Cyr"/>
      <family val="0"/>
    </font>
    <font>
      <b/>
      <vertAlign val="subscript"/>
      <sz val="10"/>
      <name val="Arial Cyr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b/>
      <sz val="12"/>
      <name val="Symbol"/>
      <family val="1"/>
    </font>
    <font>
      <b/>
      <vertAlign val="superscript"/>
      <sz val="10"/>
      <name val="Arial Cyr"/>
      <family val="0"/>
    </font>
    <font>
      <b/>
      <sz val="10"/>
      <color indexed="9"/>
      <name val="Times New Roman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vertAlign val="subscript"/>
      <sz val="12"/>
      <name val="Arial Cyr"/>
      <family val="0"/>
    </font>
    <font>
      <sz val="12"/>
      <name val="Symbol"/>
      <family val="1"/>
    </font>
    <font>
      <sz val="12"/>
      <name val="Calibri"/>
      <family val="2"/>
    </font>
    <font>
      <b/>
      <sz val="12"/>
      <name val="Arial Cyr"/>
      <family val="0"/>
    </font>
    <font>
      <b/>
      <vertAlign val="subscript"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2"/>
      <color indexed="12"/>
      <name val="Arial Cyr"/>
      <family val="0"/>
    </font>
    <font>
      <b/>
      <sz val="12"/>
      <color indexed="60"/>
      <name val="Arial Cyr"/>
      <family val="0"/>
    </font>
    <font>
      <b/>
      <sz val="10"/>
      <color indexed="12"/>
      <name val="Arial Cyr"/>
      <family val="0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theme="0"/>
      <name val="Arial Cyr"/>
      <family val="0"/>
    </font>
    <font>
      <b/>
      <sz val="12"/>
      <color rgb="FF1000E6"/>
      <name val="Arial Cyr"/>
      <family val="0"/>
    </font>
    <font>
      <b/>
      <sz val="12"/>
      <color rgb="FFC00000"/>
      <name val="Arial Cyr"/>
      <family val="0"/>
    </font>
    <font>
      <b/>
      <sz val="10"/>
      <color rgb="FF1000E6"/>
      <name val="Arial Cyr"/>
      <family val="0"/>
    </font>
    <font>
      <b/>
      <sz val="10"/>
      <color rgb="FFC00000"/>
      <name val="Arial Cyr"/>
      <family val="0"/>
    </font>
    <font>
      <sz val="12"/>
      <color rgb="FFC00000"/>
      <name val="Arial Cyr"/>
      <family val="0"/>
    </font>
    <font>
      <b/>
      <sz val="12"/>
      <color rgb="FF0A0AF4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ACFEC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1" borderId="0" xfId="0" applyFont="1" applyFill="1" applyAlignment="1">
      <alignment horizontal="center"/>
    </xf>
    <xf numFmtId="0" fontId="15" fillId="31" borderId="0" xfId="0" applyFont="1" applyFill="1" applyAlignment="1">
      <alignment/>
    </xf>
    <xf numFmtId="0" fontId="0" fillId="31" borderId="0" xfId="0" applyFill="1" applyAlignment="1">
      <alignment/>
    </xf>
    <xf numFmtId="0" fontId="6" fillId="31" borderId="0" xfId="0" applyFont="1" applyFill="1" applyAlignment="1">
      <alignment horizontal="center"/>
    </xf>
    <xf numFmtId="0" fontId="4" fillId="31" borderId="0" xfId="0" applyFont="1" applyFill="1" applyAlignment="1">
      <alignment/>
    </xf>
    <xf numFmtId="0" fontId="22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26" fillId="31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22" fillId="31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74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3" fillId="33" borderId="11" xfId="0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1" fillId="34" borderId="0" xfId="0" applyFont="1" applyFill="1" applyAlignment="1">
      <alignment/>
    </xf>
    <xf numFmtId="0" fontId="76" fillId="33" borderId="10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6" fontId="8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25" sqref="D25"/>
    </sheetView>
  </sheetViews>
  <sheetFormatPr defaultColWidth="9.00390625" defaultRowHeight="12.75"/>
  <sheetData>
    <row r="1" spans="3:17" ht="12.75">
      <c r="C1" s="16"/>
      <c r="D1" s="17" t="s">
        <v>61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3:17" ht="12.75">
      <c r="C2" s="18" t="s">
        <v>32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9.5">
      <c r="A4" s="30" t="s">
        <v>4</v>
      </c>
      <c r="B4" s="30" t="s">
        <v>66</v>
      </c>
      <c r="C4" s="30" t="s">
        <v>67</v>
      </c>
      <c r="D4" s="31" t="s">
        <v>0</v>
      </c>
      <c r="E4" s="31" t="s">
        <v>1</v>
      </c>
      <c r="F4" s="32" t="s">
        <v>73</v>
      </c>
      <c r="G4" s="32" t="s">
        <v>72</v>
      </c>
      <c r="H4" s="32" t="s">
        <v>71</v>
      </c>
      <c r="I4" s="31" t="s">
        <v>68</v>
      </c>
      <c r="J4" s="32" t="s">
        <v>75</v>
      </c>
      <c r="K4" s="32" t="s">
        <v>74</v>
      </c>
      <c r="L4" s="33" t="s">
        <v>69</v>
      </c>
      <c r="M4" s="33" t="s">
        <v>70</v>
      </c>
      <c r="O4" s="11" t="s">
        <v>2</v>
      </c>
    </row>
    <row r="5" spans="1:15" ht="12.75">
      <c r="A5" s="34"/>
      <c r="B5" s="34"/>
      <c r="C5" s="34"/>
      <c r="D5" s="35"/>
      <c r="E5" s="35"/>
      <c r="F5" s="36" t="s">
        <v>62</v>
      </c>
      <c r="G5" s="36" t="s">
        <v>62</v>
      </c>
      <c r="H5" s="36" t="s">
        <v>62</v>
      </c>
      <c r="I5" s="37" t="s">
        <v>63</v>
      </c>
      <c r="J5" s="36" t="s">
        <v>64</v>
      </c>
      <c r="K5" s="36" t="s">
        <v>64</v>
      </c>
      <c r="L5" s="37" t="s">
        <v>63</v>
      </c>
      <c r="M5" s="37" t="s">
        <v>63</v>
      </c>
      <c r="O5" s="11"/>
    </row>
    <row r="6" spans="1:15" ht="12.75">
      <c r="A6" s="34"/>
      <c r="B6" s="34"/>
      <c r="C6" s="34"/>
      <c r="D6" s="35"/>
      <c r="E6" s="35"/>
      <c r="F6" s="35"/>
      <c r="G6" s="35"/>
      <c r="H6" s="38"/>
      <c r="I6" s="38"/>
      <c r="J6" s="36" t="s">
        <v>65</v>
      </c>
      <c r="K6" s="36" t="s">
        <v>65</v>
      </c>
      <c r="L6" s="38"/>
      <c r="M6" s="38"/>
      <c r="O6" s="11"/>
    </row>
    <row r="7" spans="1:15" ht="18.75">
      <c r="A7" s="39">
        <v>0</v>
      </c>
      <c r="B7" s="39"/>
      <c r="C7" s="39"/>
      <c r="D7" s="40" t="s">
        <v>76</v>
      </c>
      <c r="E7" s="40" t="s">
        <v>77</v>
      </c>
      <c r="F7" s="40">
        <v>32</v>
      </c>
      <c r="G7" s="40">
        <v>44</v>
      </c>
      <c r="H7" s="41">
        <f>O7*F7+(1-O7)*G7</f>
        <v>38</v>
      </c>
      <c r="I7" s="41"/>
      <c r="J7" s="41"/>
      <c r="K7" s="41"/>
      <c r="L7" s="41"/>
      <c r="M7" s="41"/>
      <c r="O7" s="11">
        <f aca="true" t="shared" si="0" ref="O7:O16">10/(20+B7+C7)</f>
        <v>0.5</v>
      </c>
    </row>
    <row r="8" spans="1:15" ht="18.75">
      <c r="A8" s="39">
        <v>1</v>
      </c>
      <c r="B8" s="39"/>
      <c r="C8" s="39"/>
      <c r="D8" s="40" t="s">
        <v>78</v>
      </c>
      <c r="E8" s="40" t="s">
        <v>77</v>
      </c>
      <c r="F8" s="40">
        <v>28</v>
      </c>
      <c r="G8" s="40">
        <v>44</v>
      </c>
      <c r="H8" s="41"/>
      <c r="I8" s="41">
        <f>8314/(O8*F8+(1-O8)*G8)</f>
        <v>230.94444444444446</v>
      </c>
      <c r="J8" s="41"/>
      <c r="K8" s="41"/>
      <c r="L8" s="41"/>
      <c r="M8" s="41"/>
      <c r="O8" s="11">
        <f t="shared" si="0"/>
        <v>0.5</v>
      </c>
    </row>
    <row r="9" spans="1:15" ht="18.75">
      <c r="A9" s="39">
        <v>2</v>
      </c>
      <c r="B9" s="39"/>
      <c r="C9" s="39"/>
      <c r="D9" s="40" t="s">
        <v>79</v>
      </c>
      <c r="E9" s="40" t="s">
        <v>80</v>
      </c>
      <c r="F9" s="40">
        <v>2</v>
      </c>
      <c r="G9" s="40">
        <v>16</v>
      </c>
      <c r="H9" s="41"/>
      <c r="I9" s="41"/>
      <c r="J9" s="41">
        <f>4157*(5*O9+(1-O9)*6)</f>
        <v>22863.5</v>
      </c>
      <c r="K9" s="41"/>
      <c r="L9" s="41"/>
      <c r="M9" s="41"/>
      <c r="O9" s="11">
        <f t="shared" si="0"/>
        <v>0.5</v>
      </c>
    </row>
    <row r="10" spans="1:15" ht="18.75">
      <c r="A10" s="39">
        <v>3</v>
      </c>
      <c r="B10" s="39"/>
      <c r="C10" s="39"/>
      <c r="D10" s="40" t="s">
        <v>23</v>
      </c>
      <c r="E10" s="40" t="s">
        <v>79</v>
      </c>
      <c r="F10" s="40">
        <v>4</v>
      </c>
      <c r="G10" s="40">
        <v>2</v>
      </c>
      <c r="H10" s="41"/>
      <c r="I10" s="41"/>
      <c r="J10" s="41"/>
      <c r="K10" s="41">
        <f>4157*(O10*5+(1-O10)*7)</f>
        <v>24942</v>
      </c>
      <c r="L10" s="41"/>
      <c r="M10" s="41"/>
      <c r="O10" s="11">
        <f t="shared" si="0"/>
        <v>0.5</v>
      </c>
    </row>
    <row r="11" spans="1:15" ht="18.75">
      <c r="A11" s="39">
        <v>4</v>
      </c>
      <c r="B11" s="39"/>
      <c r="C11" s="39"/>
      <c r="D11" s="40" t="s">
        <v>81</v>
      </c>
      <c r="E11" s="40" t="s">
        <v>78</v>
      </c>
      <c r="F11" s="40">
        <v>17</v>
      </c>
      <c r="G11" s="40">
        <v>28</v>
      </c>
      <c r="H11" s="41"/>
      <c r="I11" s="41"/>
      <c r="J11" s="41"/>
      <c r="K11" s="41"/>
      <c r="L11" s="41">
        <f>4157*(O11*6+(1-O11)*5)/(O11*F11+(1-O11)*G11)</f>
        <v>1016.1555555555556</v>
      </c>
      <c r="M11" s="41"/>
      <c r="O11" s="11">
        <f t="shared" si="0"/>
        <v>0.5</v>
      </c>
    </row>
    <row r="12" spans="1:15" ht="18.75">
      <c r="A12" s="39">
        <v>5</v>
      </c>
      <c r="B12" s="39"/>
      <c r="C12" s="39"/>
      <c r="D12" s="40" t="s">
        <v>82</v>
      </c>
      <c r="E12" s="40" t="s">
        <v>79</v>
      </c>
      <c r="F12" s="40">
        <v>16</v>
      </c>
      <c r="G12" s="40">
        <v>2</v>
      </c>
      <c r="H12" s="41"/>
      <c r="I12" s="41"/>
      <c r="J12" s="41"/>
      <c r="K12" s="41"/>
      <c r="L12" s="41"/>
      <c r="M12" s="41">
        <f>4157*(O12*8+(1-O12)*7)/(O12*F12+(1-O12)*G12)</f>
        <v>3464.1666666666665</v>
      </c>
      <c r="O12" s="11">
        <f t="shared" si="0"/>
        <v>0.5</v>
      </c>
    </row>
    <row r="13" spans="1:15" ht="18.75">
      <c r="A13" s="39">
        <v>6</v>
      </c>
      <c r="B13" s="39"/>
      <c r="C13" s="39"/>
      <c r="D13" s="40" t="s">
        <v>3</v>
      </c>
      <c r="E13" s="40" t="s">
        <v>76</v>
      </c>
      <c r="F13" s="40">
        <v>4</v>
      </c>
      <c r="G13" s="40">
        <v>32</v>
      </c>
      <c r="H13" s="41"/>
      <c r="I13" s="41"/>
      <c r="J13" s="41"/>
      <c r="K13" s="41"/>
      <c r="L13" s="41">
        <f>4157*(O13*3+(1-O13)*5)/(O13*F13+(1-O13)*G13)</f>
        <v>923.7777777777778</v>
      </c>
      <c r="M13" s="41"/>
      <c r="O13" s="11">
        <f t="shared" si="0"/>
        <v>0.5</v>
      </c>
    </row>
    <row r="14" spans="1:15" ht="18.75">
      <c r="A14" s="39">
        <v>7</v>
      </c>
      <c r="B14" s="39"/>
      <c r="C14" s="39"/>
      <c r="D14" s="40" t="s">
        <v>81</v>
      </c>
      <c r="E14" s="40" t="s">
        <v>3</v>
      </c>
      <c r="F14" s="40">
        <v>17</v>
      </c>
      <c r="G14" s="40">
        <v>4</v>
      </c>
      <c r="H14" s="41"/>
      <c r="I14" s="41"/>
      <c r="J14" s="41"/>
      <c r="K14" s="41">
        <f>4157*(O14*8+(1-O14)*5)</f>
        <v>27020.5</v>
      </c>
      <c r="L14" s="41"/>
      <c r="M14" s="41"/>
      <c r="O14" s="11">
        <f t="shared" si="0"/>
        <v>0.5</v>
      </c>
    </row>
    <row r="15" spans="1:15" ht="18.75">
      <c r="A15" s="39">
        <v>8</v>
      </c>
      <c r="B15" s="39"/>
      <c r="C15" s="39"/>
      <c r="D15" s="40" t="s">
        <v>79</v>
      </c>
      <c r="E15" s="40" t="s">
        <v>80</v>
      </c>
      <c r="F15" s="40">
        <v>2</v>
      </c>
      <c r="G15" s="40">
        <v>16</v>
      </c>
      <c r="H15" s="41"/>
      <c r="I15" s="41"/>
      <c r="J15" s="41">
        <f>4157*(5*O15+(1-O15)*6)</f>
        <v>22863.5</v>
      </c>
      <c r="K15" s="41"/>
      <c r="L15" s="41"/>
      <c r="M15" s="41"/>
      <c r="O15" s="11">
        <f t="shared" si="0"/>
        <v>0.5</v>
      </c>
    </row>
    <row r="16" spans="1:15" ht="18.75">
      <c r="A16" s="39">
        <v>9</v>
      </c>
      <c r="B16" s="39"/>
      <c r="C16" s="39"/>
      <c r="D16" s="40" t="s">
        <v>77</v>
      </c>
      <c r="E16" s="40" t="s">
        <v>3</v>
      </c>
      <c r="F16" s="40">
        <v>44</v>
      </c>
      <c r="G16" s="40">
        <v>4</v>
      </c>
      <c r="H16" s="41"/>
      <c r="I16" s="41">
        <f>8314/(O16*F16+(1-O16)*G16)</f>
        <v>346.4166666666667</v>
      </c>
      <c r="J16" s="41"/>
      <c r="K16" s="41"/>
      <c r="L16" s="41"/>
      <c r="M16" s="41"/>
      <c r="O16" s="11">
        <f t="shared" si="0"/>
        <v>0.5</v>
      </c>
    </row>
    <row r="17" spans="1:13" ht="15.75">
      <c r="A17" s="42"/>
      <c r="B17" s="43" t="s">
        <v>83</v>
      </c>
      <c r="C17" s="24"/>
      <c r="D17" s="15"/>
      <c r="E17" s="15"/>
      <c r="F17" s="15"/>
      <c r="G17" s="15"/>
      <c r="H17" s="15"/>
      <c r="I17" s="15"/>
      <c r="J17" s="14"/>
      <c r="K17" s="14"/>
      <c r="L17" s="14"/>
      <c r="M17" s="14"/>
    </row>
    <row r="18" ht="12.75">
      <c r="A18" s="1"/>
    </row>
    <row r="19" spans="1:16" ht="15">
      <c r="A19" s="1"/>
      <c r="B19" s="20" t="s">
        <v>59</v>
      </c>
      <c r="C19" s="19"/>
      <c r="D19" s="19"/>
      <c r="E19" s="19"/>
      <c r="F19" s="19"/>
      <c r="G19" s="19"/>
      <c r="H19" s="19"/>
      <c r="I19" s="19"/>
      <c r="J19" s="21"/>
      <c r="K19" s="21"/>
      <c r="L19" s="21"/>
      <c r="M19" s="21"/>
      <c r="N19" s="21"/>
      <c r="O19" s="21"/>
      <c r="P19" s="21"/>
    </row>
    <row r="20" spans="1:16" ht="19.5">
      <c r="A20" s="1"/>
      <c r="B20" s="20" t="s">
        <v>60</v>
      </c>
      <c r="C20" s="19"/>
      <c r="D20" s="22"/>
      <c r="E20" s="23"/>
      <c r="F20" s="21"/>
      <c r="G20" s="21"/>
      <c r="H20" s="21"/>
      <c r="I20" s="21"/>
      <c r="J20" s="19"/>
      <c r="K20" s="19"/>
      <c r="L20" s="19"/>
      <c r="M20" s="19"/>
      <c r="N20" s="21"/>
      <c r="O20" s="21"/>
      <c r="P20" s="21"/>
    </row>
    <row r="21" spans="1:16" ht="15">
      <c r="A21" s="1"/>
      <c r="B21" s="20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1"/>
      <c r="O21" s="21"/>
      <c r="P21" s="21"/>
    </row>
    <row r="22" spans="1:16" ht="15">
      <c r="A22" s="1"/>
      <c r="B22" s="20" t="s">
        <v>26</v>
      </c>
      <c r="C22" s="19"/>
      <c r="D22" s="22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21"/>
      <c r="P22" s="2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5:13" ht="12.75">
      <c r="E24" s="1"/>
      <c r="F24" s="1"/>
      <c r="G24" s="1"/>
      <c r="H24" s="1"/>
      <c r="I24" s="1"/>
      <c r="J24" s="1"/>
      <c r="K24" s="1"/>
      <c r="L24" s="1"/>
      <c r="M24" s="1"/>
    </row>
    <row r="25" ht="12.75">
      <c r="E2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B9" sqref="B9:C9"/>
    </sheetView>
  </sheetViews>
  <sheetFormatPr defaultColWidth="9.00390625" defaultRowHeight="12.75"/>
  <sheetData>
    <row r="1" spans="1:17" ht="20.25" customHeight="1">
      <c r="A1" s="4"/>
      <c r="B1" s="18"/>
      <c r="C1" s="16"/>
      <c r="D1" s="17" t="s">
        <v>61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"/>
      <c r="B2" s="18" t="s">
        <v>33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4" spans="1:16" ht="16.5">
      <c r="A4" s="45" t="s">
        <v>4</v>
      </c>
      <c r="B4" s="45" t="s">
        <v>27</v>
      </c>
      <c r="C4" s="45" t="s">
        <v>28</v>
      </c>
      <c r="D4" s="46" t="s">
        <v>8</v>
      </c>
      <c r="E4" s="46" t="s">
        <v>9</v>
      </c>
      <c r="F4" s="46" t="s">
        <v>10</v>
      </c>
      <c r="G4" s="46" t="s">
        <v>5</v>
      </c>
      <c r="H4" s="46" t="s">
        <v>11</v>
      </c>
      <c r="I4" s="46" t="s">
        <v>12</v>
      </c>
      <c r="J4" s="46" t="s">
        <v>13</v>
      </c>
      <c r="K4" s="2"/>
      <c r="L4" s="3"/>
      <c r="M4" s="3"/>
      <c r="O4" s="12" t="s">
        <v>2</v>
      </c>
      <c r="P4" s="11"/>
    </row>
    <row r="5" spans="1:16" ht="15.75">
      <c r="A5" s="27">
        <v>0</v>
      </c>
      <c r="B5" s="27"/>
      <c r="C5" s="27"/>
      <c r="D5" s="29">
        <f>O5</f>
        <v>1</v>
      </c>
      <c r="E5" s="29">
        <f>100/H5</f>
        <v>500</v>
      </c>
      <c r="F5" s="44"/>
      <c r="G5" s="28" t="s">
        <v>6</v>
      </c>
      <c r="H5" s="29">
        <f>0.2*D5</f>
        <v>0.2</v>
      </c>
      <c r="I5" s="44"/>
      <c r="J5" s="29"/>
      <c r="K5" s="1"/>
      <c r="L5" s="1"/>
      <c r="M5" s="1"/>
      <c r="O5" s="11">
        <f>1+0.1*(B5+C5)</f>
        <v>1</v>
      </c>
      <c r="P5" s="11"/>
    </row>
    <row r="6" spans="1:16" ht="15.75">
      <c r="A6" s="27">
        <v>1</v>
      </c>
      <c r="B6" s="27"/>
      <c r="C6" s="27"/>
      <c r="D6" s="29"/>
      <c r="E6" s="29">
        <f>100/O6</f>
        <v>100</v>
      </c>
      <c r="F6" s="44"/>
      <c r="G6" s="28" t="s">
        <v>7</v>
      </c>
      <c r="H6" s="44"/>
      <c r="I6" s="29">
        <f>O6*0.8</f>
        <v>0.8</v>
      </c>
      <c r="J6" s="29">
        <f>E6*2*(O6+3)</f>
        <v>800</v>
      </c>
      <c r="K6" s="1"/>
      <c r="L6" s="1"/>
      <c r="M6" s="1"/>
      <c r="O6" s="11">
        <f>1+0.1*(B6+C6)</f>
        <v>1</v>
      </c>
      <c r="P6" s="11"/>
    </row>
    <row r="7" spans="1:16" ht="15.75">
      <c r="A7" s="27">
        <v>2</v>
      </c>
      <c r="B7" s="27"/>
      <c r="C7" s="27"/>
      <c r="D7" s="29">
        <f>O7*0.1</f>
        <v>0.010000000000000002</v>
      </c>
      <c r="E7" s="29"/>
      <c r="F7" s="29">
        <f>(273.15+P7)*8314/22/(D7*10^6)</f>
        <v>11.645268636363632</v>
      </c>
      <c r="G7" s="28" t="s">
        <v>14</v>
      </c>
      <c r="H7" s="29">
        <f>D7*5</f>
        <v>0.05000000000000001</v>
      </c>
      <c r="I7" s="29"/>
      <c r="J7" s="29"/>
      <c r="K7" s="1"/>
      <c r="L7" s="1"/>
      <c r="M7" s="1"/>
      <c r="O7" s="11">
        <f>0.1+0.1*(B7+C7)</f>
        <v>0.1</v>
      </c>
      <c r="P7" s="11">
        <f>25+1000*D7</f>
        <v>35</v>
      </c>
    </row>
    <row r="8" spans="1:16" ht="15.75">
      <c r="A8" s="27">
        <v>3</v>
      </c>
      <c r="B8" s="27"/>
      <c r="C8" s="27"/>
      <c r="D8" s="29">
        <f>O8</f>
        <v>1</v>
      </c>
      <c r="E8" s="29">
        <f>400+10*D8</f>
        <v>410</v>
      </c>
      <c r="F8" s="29"/>
      <c r="G8" s="28" t="s">
        <v>15</v>
      </c>
      <c r="H8" s="29"/>
      <c r="I8" s="29"/>
      <c r="J8" s="29">
        <f>20+15*D8</f>
        <v>35</v>
      </c>
      <c r="K8" s="1"/>
      <c r="L8" s="1"/>
      <c r="M8" s="1"/>
      <c r="O8" s="11">
        <f>1+0.1*(B8+C8)</f>
        <v>1</v>
      </c>
      <c r="P8" s="11"/>
    </row>
    <row r="9" spans="1:16" ht="15.75">
      <c r="A9" s="27">
        <v>4</v>
      </c>
      <c r="B9" s="27"/>
      <c r="C9" s="27"/>
      <c r="D9" s="29">
        <f>O9</f>
        <v>1</v>
      </c>
      <c r="E9" s="29">
        <f>400+10*D9</f>
        <v>410</v>
      </c>
      <c r="F9" s="29"/>
      <c r="G9" s="28" t="s">
        <v>16</v>
      </c>
      <c r="H9" s="29">
        <f>D9-0.5</f>
        <v>0.5</v>
      </c>
      <c r="I9" s="29"/>
      <c r="J9" s="29">
        <f>20+15*D9</f>
        <v>35</v>
      </c>
      <c r="K9" s="1"/>
      <c r="L9" s="1"/>
      <c r="M9" s="1"/>
      <c r="O9" s="11">
        <f>1+0.1*(B9+C9)</f>
        <v>1</v>
      </c>
      <c r="P9" s="11">
        <f>1/(1+((LN((273.15+E9)/(273.15+J9))/(LN(D9/H9)))))</f>
        <v>0.4654259288160569</v>
      </c>
    </row>
    <row r="10" spans="1:16" ht="15.75">
      <c r="A10" s="27">
        <v>5</v>
      </c>
      <c r="B10" s="27"/>
      <c r="C10" s="27"/>
      <c r="D10" s="29">
        <f>0.2*H10</f>
        <v>0.2</v>
      </c>
      <c r="E10" s="29"/>
      <c r="F10" s="29"/>
      <c r="G10" s="28" t="s">
        <v>6</v>
      </c>
      <c r="H10" s="29">
        <f>O10</f>
        <v>1</v>
      </c>
      <c r="I10" s="29"/>
      <c r="J10" s="29">
        <f>100/D10</f>
        <v>500</v>
      </c>
      <c r="K10" s="1"/>
      <c r="L10" s="1"/>
      <c r="M10" s="1"/>
      <c r="O10" s="11">
        <f>1+0.1*(B10+C10)</f>
        <v>1</v>
      </c>
      <c r="P10" s="11"/>
    </row>
    <row r="11" spans="1:16" ht="15.75">
      <c r="A11" s="27">
        <v>6</v>
      </c>
      <c r="B11" s="27"/>
      <c r="C11" s="27"/>
      <c r="D11" s="29"/>
      <c r="E11" s="29">
        <f>J11*2*(O11+3)</f>
        <v>800</v>
      </c>
      <c r="F11" s="29">
        <f>O11*0.8</f>
        <v>0.8</v>
      </c>
      <c r="G11" s="28" t="s">
        <v>7</v>
      </c>
      <c r="H11" s="44"/>
      <c r="I11" s="29"/>
      <c r="J11" s="29">
        <f>100/O11</f>
        <v>100</v>
      </c>
      <c r="K11" s="1"/>
      <c r="L11" s="1"/>
      <c r="M11" s="1"/>
      <c r="O11" s="11">
        <f>1+0.1*(B11+C11)</f>
        <v>1</v>
      </c>
      <c r="P11" s="11"/>
    </row>
    <row r="12" spans="1:16" ht="15.75">
      <c r="A12" s="27">
        <v>7</v>
      </c>
      <c r="B12" s="27"/>
      <c r="C12" s="27"/>
      <c r="D12" s="29">
        <f>H12*5</f>
        <v>0.05000000000000001</v>
      </c>
      <c r="E12" s="29"/>
      <c r="F12" s="29"/>
      <c r="G12" s="28" t="s">
        <v>14</v>
      </c>
      <c r="H12" s="29">
        <f>O12*0.1</f>
        <v>0.010000000000000002</v>
      </c>
      <c r="I12" s="29">
        <f>(273.15+P12)*8314/22/(H12*10^6)</f>
        <v>11.645268636363632</v>
      </c>
      <c r="J12" s="29"/>
      <c r="K12" s="1"/>
      <c r="L12" s="1"/>
      <c r="M12" s="1"/>
      <c r="O12" s="11">
        <f>0.1+0.1*(B12+C12)</f>
        <v>0.1</v>
      </c>
      <c r="P12" s="11">
        <f>25+1000*H12</f>
        <v>35</v>
      </c>
    </row>
    <row r="13" spans="1:16" ht="15.75">
      <c r="A13" s="27">
        <v>8</v>
      </c>
      <c r="B13" s="27"/>
      <c r="C13" s="27"/>
      <c r="D13" s="29"/>
      <c r="E13" s="29">
        <f>20+15*H13</f>
        <v>35</v>
      </c>
      <c r="F13" s="29"/>
      <c r="G13" s="28" t="s">
        <v>15</v>
      </c>
      <c r="H13" s="29">
        <f>O13</f>
        <v>1</v>
      </c>
      <c r="I13" s="29"/>
      <c r="J13" s="29">
        <f>400+10*O13</f>
        <v>410</v>
      </c>
      <c r="K13" s="1"/>
      <c r="L13" s="1"/>
      <c r="M13" s="1"/>
      <c r="O13" s="11">
        <f>1+0.1*(B13+C13)</f>
        <v>1</v>
      </c>
      <c r="P13" s="11"/>
    </row>
    <row r="14" spans="1:16" ht="15.75">
      <c r="A14" s="27">
        <v>9</v>
      </c>
      <c r="B14" s="27"/>
      <c r="C14" s="27"/>
      <c r="D14" s="29">
        <f>O14-0.5</f>
        <v>0.5</v>
      </c>
      <c r="E14" s="29">
        <f>20+15*O14</f>
        <v>35</v>
      </c>
      <c r="F14" s="29"/>
      <c r="G14" s="28" t="s">
        <v>16</v>
      </c>
      <c r="H14" s="29">
        <f>O14</f>
        <v>1</v>
      </c>
      <c r="I14" s="29"/>
      <c r="J14" s="29">
        <f>400+10*O14</f>
        <v>410</v>
      </c>
      <c r="K14" s="1"/>
      <c r="L14" s="1"/>
      <c r="M14" s="1"/>
      <c r="O14" s="11">
        <f>1+0.1*(B14+C14)</f>
        <v>1</v>
      </c>
      <c r="P14" s="11">
        <f>1/(1+((LN((273.15+E14)/(273.15+J14))/(LN(D14/H14)))))</f>
        <v>0.4654259288160569</v>
      </c>
    </row>
    <row r="15" spans="2:3" ht="12.75">
      <c r="B15" s="25" t="s">
        <v>84</v>
      </c>
      <c r="C15" s="25"/>
    </row>
    <row r="21" spans="1:17" ht="15">
      <c r="A21" s="4"/>
      <c r="B21" s="4"/>
      <c r="C21" s="20" t="s">
        <v>24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9.5">
      <c r="A22" s="1"/>
      <c r="B22" s="1"/>
      <c r="C22" s="20" t="s">
        <v>60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5">
      <c r="A23" s="1"/>
      <c r="B23" s="1"/>
      <c r="C23" s="20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5">
      <c r="A24" s="1"/>
      <c r="B24" s="1"/>
      <c r="C24" s="20" t="s">
        <v>29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3" ht="12.75">
      <c r="A25" s="1"/>
      <c r="B25" s="1"/>
      <c r="C25" s="1"/>
      <c r="D25" s="1"/>
      <c r="E25" s="1"/>
      <c r="F25" s="1"/>
      <c r="G25" s="6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6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7"/>
      <c r="E27" s="6"/>
      <c r="F27" s="6"/>
      <c r="G27" s="6"/>
      <c r="H27" s="6"/>
      <c r="I27" s="6"/>
      <c r="J27" s="6"/>
      <c r="K27" s="1"/>
      <c r="L27" s="1"/>
      <c r="M27" s="1"/>
    </row>
    <row r="28" spans="1:13" ht="12.75">
      <c r="A28" s="1"/>
      <c r="B28" s="1"/>
      <c r="C28" s="1"/>
      <c r="D28" s="6"/>
      <c r="E28" s="6"/>
      <c r="F28" s="6"/>
      <c r="G28" s="6"/>
      <c r="H28" s="7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8"/>
      <c r="F29" s="1"/>
      <c r="G29" s="6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6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6"/>
      <c r="H31" s="1"/>
      <c r="I31" s="1"/>
      <c r="J31" s="1"/>
      <c r="K31" s="1"/>
      <c r="L31" s="1"/>
      <c r="M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P4" sqref="P4"/>
    </sheetView>
  </sheetViews>
  <sheetFormatPr defaultColWidth="9.00390625" defaultRowHeight="12.75"/>
  <sheetData>
    <row r="1" spans="2:16" ht="12.75">
      <c r="B1" s="16"/>
      <c r="C1" s="16"/>
      <c r="D1" s="17" t="s">
        <v>61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4"/>
      <c r="B2" s="18" t="s">
        <v>85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4" ht="12.75">
      <c r="A3" s="1"/>
      <c r="B3" s="1"/>
      <c r="C3" s="1"/>
      <c r="D3" s="1"/>
      <c r="E3" s="1"/>
      <c r="F3" s="13"/>
      <c r="G3" s="1"/>
      <c r="H3" s="1"/>
      <c r="I3" s="1"/>
      <c r="J3" s="13"/>
      <c r="K3" s="1"/>
      <c r="L3" s="1"/>
      <c r="M3" s="1"/>
      <c r="N3" s="13"/>
    </row>
    <row r="4" spans="1:16" ht="16.5">
      <c r="A4" s="45" t="s">
        <v>4</v>
      </c>
      <c r="B4" s="45" t="s">
        <v>27</v>
      </c>
      <c r="C4" s="45" t="s">
        <v>28</v>
      </c>
      <c r="D4" s="46" t="s">
        <v>8</v>
      </c>
      <c r="E4" s="46" t="s">
        <v>9</v>
      </c>
      <c r="F4" s="46" t="s">
        <v>20</v>
      </c>
      <c r="G4" s="46" t="s">
        <v>5</v>
      </c>
      <c r="H4" s="46" t="s">
        <v>11</v>
      </c>
      <c r="I4" s="46" t="s">
        <v>13</v>
      </c>
      <c r="J4" s="46" t="s">
        <v>12</v>
      </c>
      <c r="K4" s="46" t="s">
        <v>17</v>
      </c>
      <c r="L4" s="46" t="s">
        <v>18</v>
      </c>
      <c r="M4" s="46" t="s">
        <v>19</v>
      </c>
      <c r="N4" s="46" t="s">
        <v>20</v>
      </c>
      <c r="O4" s="12" t="s">
        <v>2</v>
      </c>
      <c r="P4" s="11"/>
    </row>
    <row r="5" spans="1:16" ht="15.75">
      <c r="A5" s="27">
        <v>0</v>
      </c>
      <c r="B5" s="27"/>
      <c r="C5" s="27"/>
      <c r="D5" s="29">
        <f>O5</f>
        <v>1</v>
      </c>
      <c r="E5" s="29">
        <f>250*D5</f>
        <v>250</v>
      </c>
      <c r="F5" s="44"/>
      <c r="G5" s="28" t="s">
        <v>15</v>
      </c>
      <c r="H5" s="29">
        <f>0.18*D5</f>
        <v>0.18</v>
      </c>
      <c r="I5" s="29"/>
      <c r="J5" s="44"/>
      <c r="K5" s="28" t="s">
        <v>6</v>
      </c>
      <c r="L5" s="29">
        <f>H5*(1.5+H5)</f>
        <v>0.3024</v>
      </c>
      <c r="M5" s="29"/>
      <c r="N5" s="44"/>
      <c r="O5" s="11">
        <f>1+0.1*(B5+C5)</f>
        <v>1</v>
      </c>
      <c r="P5" s="11"/>
    </row>
    <row r="6" spans="1:16" ht="15.75">
      <c r="A6" s="27">
        <v>1</v>
      </c>
      <c r="B6" s="27"/>
      <c r="C6" s="27"/>
      <c r="D6" s="29">
        <f>O6</f>
        <v>1.2</v>
      </c>
      <c r="E6" s="44"/>
      <c r="F6" s="29">
        <f>8314/28.96*(273.15+P6)/(D6*10^6)</f>
        <v>0.13711927658839776</v>
      </c>
      <c r="G6" s="28" t="s">
        <v>15</v>
      </c>
      <c r="H6" s="44"/>
      <c r="I6" s="29"/>
      <c r="J6" s="29">
        <f>F6*(2.5+O6)</f>
        <v>0.5073413233770717</v>
      </c>
      <c r="K6" s="28" t="s">
        <v>7</v>
      </c>
      <c r="L6" s="29"/>
      <c r="M6" s="29"/>
      <c r="N6" s="29">
        <f>J6*1.452</f>
        <v>0.7366596015435081</v>
      </c>
      <c r="O6" s="11">
        <f>1+0.1*(B6+C6+2)</f>
        <v>1.2</v>
      </c>
      <c r="P6" s="11">
        <f>250*D6</f>
        <v>300</v>
      </c>
    </row>
    <row r="7" spans="1:16" ht="15.75">
      <c r="A7" s="27">
        <v>2</v>
      </c>
      <c r="B7" s="27"/>
      <c r="C7" s="27"/>
      <c r="D7" s="29"/>
      <c r="E7" s="29">
        <f>350*O7</f>
        <v>175</v>
      </c>
      <c r="F7" s="29">
        <f>8314/28.96*(273.15+E7)/(O7*10^6)</f>
        <v>0.25731485497237566</v>
      </c>
      <c r="G7" s="28" t="s">
        <v>15</v>
      </c>
      <c r="H7" s="29">
        <f>0.2*O7</f>
        <v>0.1</v>
      </c>
      <c r="I7" s="29"/>
      <c r="J7" s="29"/>
      <c r="K7" s="28" t="s">
        <v>6</v>
      </c>
      <c r="L7" s="29">
        <f>H7*(1.5+H7)</f>
        <v>0.16000000000000003</v>
      </c>
      <c r="M7" s="29"/>
      <c r="N7" s="29"/>
      <c r="O7" s="11">
        <f>0.5+0.1*(B7+C7)</f>
        <v>0.5</v>
      </c>
      <c r="P7" s="11"/>
    </row>
    <row r="8" spans="1:16" ht="15.75">
      <c r="A8" s="27">
        <v>3</v>
      </c>
      <c r="B8" s="27"/>
      <c r="C8" s="27"/>
      <c r="D8" s="29">
        <f>O8-0.6</f>
        <v>0.4</v>
      </c>
      <c r="E8" s="29"/>
      <c r="F8" s="29">
        <f>8314/28.96*(273.15+P8)/(D8*10^6)</f>
        <v>0.2764275811464088</v>
      </c>
      <c r="G8" s="28" t="s">
        <v>15</v>
      </c>
      <c r="H8" s="29"/>
      <c r="I8" s="29"/>
      <c r="J8" s="29">
        <f>F8*(2.3+O8)</f>
        <v>0.9122110177831491</v>
      </c>
      <c r="K8" s="28" t="s">
        <v>7</v>
      </c>
      <c r="L8" s="29"/>
      <c r="M8" s="29"/>
      <c r="N8" s="29">
        <f>J8*1.52</f>
        <v>1.3865607470303867</v>
      </c>
      <c r="O8" s="11">
        <f>1+0.1*(B8+C8)</f>
        <v>1</v>
      </c>
      <c r="P8" s="11">
        <f>280*D8</f>
        <v>112</v>
      </c>
    </row>
    <row r="9" spans="1:16" ht="15.75">
      <c r="A9" s="27">
        <v>4</v>
      </c>
      <c r="B9" s="27"/>
      <c r="C9" s="27"/>
      <c r="D9" s="29">
        <f>O9*0.1</f>
        <v>0.08000000000000002</v>
      </c>
      <c r="E9" s="29">
        <f>250*D9</f>
        <v>20.000000000000004</v>
      </c>
      <c r="F9" s="44"/>
      <c r="G9" s="28" t="s">
        <v>15</v>
      </c>
      <c r="H9" s="29">
        <f>4.2*D9</f>
        <v>0.3360000000000001</v>
      </c>
      <c r="I9" s="29"/>
      <c r="J9" s="44"/>
      <c r="K9" s="28" t="s">
        <v>6</v>
      </c>
      <c r="L9" s="29">
        <f>H9/(1.5+H9)</f>
        <v>0.18300653594771246</v>
      </c>
      <c r="M9" s="29"/>
      <c r="N9" s="44"/>
      <c r="O9" s="11">
        <f>0.8+0.1*(B9+C9)</f>
        <v>0.8</v>
      </c>
      <c r="P9" s="11"/>
    </row>
    <row r="10" spans="1:16" ht="15.75">
      <c r="A10" s="27">
        <v>5</v>
      </c>
      <c r="B10" s="27"/>
      <c r="C10" s="27"/>
      <c r="D10" s="29">
        <f>O10*0.06</f>
        <v>0.066</v>
      </c>
      <c r="E10" s="44"/>
      <c r="F10" s="29">
        <f>8314/28.96*(273.15+P10)/(D10*10^6)</f>
        <v>1.302977304118533</v>
      </c>
      <c r="G10" s="28" t="s">
        <v>15</v>
      </c>
      <c r="H10" s="44"/>
      <c r="I10" s="29"/>
      <c r="J10" s="29">
        <f>F10/(1.5+O10)</f>
        <v>0.5011451169686666</v>
      </c>
      <c r="K10" s="28" t="s">
        <v>7</v>
      </c>
      <c r="L10" s="29"/>
      <c r="M10" s="29"/>
      <c r="N10" s="29">
        <f>J10*1.452</f>
        <v>0.7276627098385039</v>
      </c>
      <c r="O10" s="11">
        <f>0.9+0.1*(B10+C10+2)</f>
        <v>1.1</v>
      </c>
      <c r="P10" s="11">
        <f>400*D10</f>
        <v>26.400000000000002</v>
      </c>
    </row>
    <row r="11" spans="1:16" ht="15.75">
      <c r="A11" s="27">
        <v>6</v>
      </c>
      <c r="B11" s="27"/>
      <c r="C11" s="27"/>
      <c r="D11" s="29"/>
      <c r="E11" s="29">
        <f>400*O11</f>
        <v>28.000000000000004</v>
      </c>
      <c r="F11" s="29">
        <f>8314/28.96*(273.15+E11)/(O11*10^6)</f>
        <v>1.2350834155485395</v>
      </c>
      <c r="G11" s="28" t="s">
        <v>15</v>
      </c>
      <c r="H11" s="29">
        <f>5*O11</f>
        <v>0.35000000000000003</v>
      </c>
      <c r="I11" s="29"/>
      <c r="J11" s="29"/>
      <c r="K11" s="28" t="s">
        <v>6</v>
      </c>
      <c r="L11" s="29">
        <f>H11/1.5</f>
        <v>0.23333333333333336</v>
      </c>
      <c r="M11" s="29"/>
      <c r="N11" s="29"/>
      <c r="O11" s="11">
        <f>0.07+0.01*(B11+C11)</f>
        <v>0.07</v>
      </c>
      <c r="P11" s="11"/>
    </row>
    <row r="12" spans="1:16" ht="15.75">
      <c r="A12" s="27">
        <v>7</v>
      </c>
      <c r="B12" s="27"/>
      <c r="C12" s="27"/>
      <c r="D12" s="29">
        <f>O12/15</f>
        <v>0.04</v>
      </c>
      <c r="E12" s="29"/>
      <c r="F12" s="29">
        <f>8314/28.96*(273.15+P12)/(D12*10^6)</f>
        <v>2.245243210394194</v>
      </c>
      <c r="G12" s="28" t="s">
        <v>15</v>
      </c>
      <c r="H12" s="29"/>
      <c r="I12" s="29"/>
      <c r="J12" s="29">
        <f>F12/(2+O12)</f>
        <v>0.8635550809208438</v>
      </c>
      <c r="K12" s="28" t="s">
        <v>7</v>
      </c>
      <c r="L12" s="29"/>
      <c r="M12" s="29"/>
      <c r="N12" s="29">
        <f>J12*1.6</f>
        <v>1.38168812947335</v>
      </c>
      <c r="O12" s="11">
        <f>0.6+0.1*(B12+C12)</f>
        <v>0.6</v>
      </c>
      <c r="P12" s="11">
        <f>200/(5+D12)</f>
        <v>39.682539682539684</v>
      </c>
    </row>
    <row r="13" spans="1:16" ht="15.75">
      <c r="A13" s="27">
        <v>8</v>
      </c>
      <c r="B13" s="27"/>
      <c r="C13" s="27"/>
      <c r="D13" s="29">
        <f>O13/22</f>
        <v>0.045454545454545456</v>
      </c>
      <c r="E13" s="29">
        <f>250*D13</f>
        <v>11.363636363636363</v>
      </c>
      <c r="F13" s="44"/>
      <c r="G13" s="28" t="s">
        <v>15</v>
      </c>
      <c r="H13" s="29">
        <f>6*D13</f>
        <v>0.2727272727272727</v>
      </c>
      <c r="I13" s="29"/>
      <c r="J13" s="44"/>
      <c r="K13" s="28" t="s">
        <v>6</v>
      </c>
      <c r="L13" s="29">
        <f>H13/(1.5+H13)</f>
        <v>0.15384615384615383</v>
      </c>
      <c r="M13" s="29"/>
      <c r="N13" s="44"/>
      <c r="O13" s="11">
        <f>1+0.1*(B13+C13)</f>
        <v>1</v>
      </c>
      <c r="P13" s="11"/>
    </row>
    <row r="14" spans="1:16" ht="15.75">
      <c r="A14" s="27">
        <v>9</v>
      </c>
      <c r="B14" s="27"/>
      <c r="C14" s="27"/>
      <c r="D14" s="29">
        <f>O14*0.1</f>
        <v>0.12</v>
      </c>
      <c r="E14" s="44"/>
      <c r="F14" s="29">
        <f>8314/28.96*(273.15+P14)/(D14*10^6)</f>
        <v>0.7281209426795578</v>
      </c>
      <c r="G14" s="28" t="s">
        <v>15</v>
      </c>
      <c r="H14" s="44"/>
      <c r="I14" s="29"/>
      <c r="J14" s="29">
        <f>F14/(2.5+O14)</f>
        <v>0.19678944396744805</v>
      </c>
      <c r="K14" s="28" t="s">
        <v>7</v>
      </c>
      <c r="L14" s="29"/>
      <c r="M14" s="29"/>
      <c r="N14" s="29">
        <f>J14*1.6</f>
        <v>0.3148631103479169</v>
      </c>
      <c r="O14" s="11">
        <f>1+0.1*(B14+C14+2)</f>
        <v>1.2</v>
      </c>
      <c r="P14" s="11">
        <f>260*D14</f>
        <v>31.2</v>
      </c>
    </row>
    <row r="15" spans="2:3" ht="12.75">
      <c r="B15" s="25" t="s">
        <v>84</v>
      </c>
      <c r="C15" s="25"/>
    </row>
    <row r="18" spans="3:17" ht="15">
      <c r="C18" s="20" t="s">
        <v>24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3:17" ht="19.5">
      <c r="C19" s="20" t="s">
        <v>60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3:17" ht="15">
      <c r="C20" s="20" t="s">
        <v>34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3:17" ht="15">
      <c r="C21" s="20" t="s">
        <v>31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E11" sqref="E11"/>
    </sheetView>
  </sheetViews>
  <sheetFormatPr defaultColWidth="9.00390625" defaultRowHeight="12.75"/>
  <sheetData>
    <row r="1" spans="2:16" ht="12.75">
      <c r="B1" s="16"/>
      <c r="C1" s="16"/>
      <c r="D1" s="16"/>
      <c r="E1" s="17" t="s">
        <v>61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16" ht="12.75">
      <c r="B2" s="18" t="s">
        <v>86</v>
      </c>
      <c r="C2" s="16"/>
      <c r="D2" s="18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12.75">
      <c r="P3" s="9"/>
    </row>
    <row r="4" spans="1:15" ht="17.25">
      <c r="A4" s="45" t="s">
        <v>4</v>
      </c>
      <c r="B4" s="45" t="s">
        <v>27</v>
      </c>
      <c r="C4" s="45" t="s">
        <v>28</v>
      </c>
      <c r="D4" s="46" t="s">
        <v>8</v>
      </c>
      <c r="E4" s="46" t="s">
        <v>9</v>
      </c>
      <c r="F4" s="50" t="s">
        <v>21</v>
      </c>
      <c r="G4" s="46" t="s">
        <v>5</v>
      </c>
      <c r="H4" s="46" t="s">
        <v>11</v>
      </c>
      <c r="I4" s="46" t="s">
        <v>13</v>
      </c>
      <c r="J4" s="50" t="s">
        <v>22</v>
      </c>
      <c r="K4" s="5"/>
      <c r="L4" s="5"/>
      <c r="M4" s="5"/>
      <c r="N4" s="10"/>
      <c r="O4" s="12" t="s">
        <v>2</v>
      </c>
    </row>
    <row r="5" spans="1:16" ht="15.75">
      <c r="A5" s="27">
        <v>0</v>
      </c>
      <c r="B5" s="27"/>
      <c r="C5" s="27"/>
      <c r="D5" s="47">
        <f>O5+0.2</f>
        <v>1.2</v>
      </c>
      <c r="E5" s="47">
        <f>190+50*D5</f>
        <v>250</v>
      </c>
      <c r="F5" s="48"/>
      <c r="G5" s="49" t="s">
        <v>6</v>
      </c>
      <c r="H5" s="47"/>
      <c r="I5" s="47">
        <f>E5+50*D5</f>
        <v>310</v>
      </c>
      <c r="J5" s="48"/>
      <c r="K5" s="6"/>
      <c r="L5" s="6"/>
      <c r="M5" s="6"/>
      <c r="N5" s="7"/>
      <c r="O5" s="11">
        <f>1+0.1*(B5+C5)</f>
        <v>1</v>
      </c>
      <c r="P5" s="9"/>
    </row>
    <row r="6" spans="1:15" ht="15.75">
      <c r="A6" s="27">
        <v>1</v>
      </c>
      <c r="B6" s="27"/>
      <c r="C6" s="27"/>
      <c r="D6" s="47"/>
      <c r="E6" s="47">
        <f>O6*100</f>
        <v>120</v>
      </c>
      <c r="F6" s="29">
        <f>O6*0.33</f>
        <v>0.396</v>
      </c>
      <c r="G6" s="49" t="s">
        <v>7</v>
      </c>
      <c r="H6" s="48"/>
      <c r="I6" s="29">
        <f>E6+50*O6</f>
        <v>180</v>
      </c>
      <c r="J6" s="29"/>
      <c r="K6" s="6"/>
      <c r="L6" s="6"/>
      <c r="M6" s="6"/>
      <c r="N6" s="1"/>
      <c r="O6" s="11">
        <f>1+0.1*(B6+C6+2)</f>
        <v>1.2</v>
      </c>
    </row>
    <row r="7" spans="1:16" ht="15.75">
      <c r="A7" s="27">
        <v>2</v>
      </c>
      <c r="B7" s="27"/>
      <c r="C7" s="27"/>
      <c r="D7" s="47">
        <f>O7+0.2</f>
        <v>0.7</v>
      </c>
      <c r="E7" s="47"/>
      <c r="F7" s="29">
        <f>O7*0.43</f>
        <v>0.215</v>
      </c>
      <c r="G7" s="49" t="s">
        <v>14</v>
      </c>
      <c r="H7" s="47">
        <f>D7-0.6</f>
        <v>0.09999999999999998</v>
      </c>
      <c r="I7" s="29"/>
      <c r="J7" s="29"/>
      <c r="K7" s="6"/>
      <c r="L7" s="6"/>
      <c r="M7" s="8"/>
      <c r="N7" s="8"/>
      <c r="O7" s="11">
        <f>0.5+0.1*(B7+C7)</f>
        <v>0.5</v>
      </c>
      <c r="P7" s="9"/>
    </row>
    <row r="8" spans="1:15" ht="15.75">
      <c r="A8" s="27">
        <v>3</v>
      </c>
      <c r="B8" s="27"/>
      <c r="C8" s="27"/>
      <c r="D8" s="47">
        <f>O8+0.2</f>
        <v>1.2</v>
      </c>
      <c r="E8" s="47">
        <f>190+50*D8</f>
        <v>250</v>
      </c>
      <c r="F8" s="29"/>
      <c r="G8" s="49" t="s">
        <v>15</v>
      </c>
      <c r="H8" s="47">
        <f>D8/(30+10*D8)</f>
        <v>0.02857142857142857</v>
      </c>
      <c r="I8" s="29"/>
      <c r="J8" s="29"/>
      <c r="K8" s="6"/>
      <c r="L8" s="6"/>
      <c r="M8" s="1"/>
      <c r="N8" s="1"/>
      <c r="O8" s="11">
        <f>1+0.1*(B8+C8)</f>
        <v>1</v>
      </c>
    </row>
    <row r="9" spans="1:16" ht="15.75">
      <c r="A9" s="27">
        <v>4</v>
      </c>
      <c r="B9" s="27"/>
      <c r="C9" s="27"/>
      <c r="D9" s="47"/>
      <c r="E9" s="47">
        <f>O9*100</f>
        <v>80</v>
      </c>
      <c r="F9" s="29">
        <f>O9*0.38</f>
        <v>0.30400000000000005</v>
      </c>
      <c r="G9" s="49" t="s">
        <v>6</v>
      </c>
      <c r="H9" s="47"/>
      <c r="I9" s="47">
        <f>E9+50*O9</f>
        <v>120</v>
      </c>
      <c r="J9" s="48"/>
      <c r="K9" s="6"/>
      <c r="L9" s="6"/>
      <c r="M9" s="6"/>
      <c r="N9" s="7"/>
      <c r="O9" s="11">
        <f>0.8+0.1*(B9+C9)</f>
        <v>0.8</v>
      </c>
      <c r="P9" s="9"/>
    </row>
    <row r="10" spans="1:15" ht="15.75">
      <c r="A10" s="27">
        <v>5</v>
      </c>
      <c r="B10" s="27"/>
      <c r="C10" s="27"/>
      <c r="D10" s="47"/>
      <c r="E10" s="29">
        <f>100+100*O10</f>
        <v>250</v>
      </c>
      <c r="F10" s="29"/>
      <c r="G10" s="49" t="s">
        <v>7</v>
      </c>
      <c r="H10" s="48"/>
      <c r="I10" s="29">
        <f>E10-O10*40</f>
        <v>190</v>
      </c>
      <c r="J10" s="29">
        <f>1-O10/40</f>
        <v>0.9625</v>
      </c>
      <c r="K10" s="6"/>
      <c r="L10" s="6"/>
      <c r="M10" s="6"/>
      <c r="N10" s="1"/>
      <c r="O10" s="11">
        <f>1+0.1*(B10+C10+5)</f>
        <v>1.5</v>
      </c>
    </row>
    <row r="11" spans="1:16" ht="15.75">
      <c r="A11" s="27">
        <v>6</v>
      </c>
      <c r="B11" s="27">
        <v>0</v>
      </c>
      <c r="C11" s="27">
        <v>0</v>
      </c>
      <c r="D11" s="29">
        <f>0.5*O11</f>
        <v>0.35</v>
      </c>
      <c r="E11" s="47">
        <f>190+50*O11</f>
        <v>225</v>
      </c>
      <c r="F11" s="29"/>
      <c r="G11" s="49" t="s">
        <v>14</v>
      </c>
      <c r="H11" s="47"/>
      <c r="I11" s="29"/>
      <c r="J11" s="29">
        <f>1-O11/20</f>
        <v>0.965</v>
      </c>
      <c r="K11" s="6"/>
      <c r="L11" s="6"/>
      <c r="M11" s="8"/>
      <c r="N11" s="8"/>
      <c r="O11" s="11">
        <f>0.7+0.1*(B11+C11)</f>
        <v>0.7</v>
      </c>
      <c r="P11" s="9"/>
    </row>
    <row r="12" spans="1:15" ht="15.75">
      <c r="A12" s="27">
        <v>7</v>
      </c>
      <c r="B12" s="27"/>
      <c r="C12" s="27"/>
      <c r="D12" s="29">
        <f>O12/20</f>
        <v>0.05</v>
      </c>
      <c r="E12" s="47"/>
      <c r="F12" s="29">
        <f>O12*0.35</f>
        <v>0.35</v>
      </c>
      <c r="G12" s="49" t="s">
        <v>15</v>
      </c>
      <c r="H12" s="47"/>
      <c r="I12" s="47">
        <f>130+50*O12</f>
        <v>180</v>
      </c>
      <c r="J12" s="29"/>
      <c r="K12" s="6"/>
      <c r="L12" s="6"/>
      <c r="M12" s="1"/>
      <c r="N12" s="1"/>
      <c r="O12" s="11">
        <f>1+0.1*(B12+C12)</f>
        <v>1</v>
      </c>
    </row>
    <row r="13" spans="1:15" ht="15.75">
      <c r="A13" s="27">
        <v>8</v>
      </c>
      <c r="B13" s="27"/>
      <c r="C13" s="27"/>
      <c r="D13" s="47"/>
      <c r="E13" s="47">
        <f>O13*100</f>
        <v>100</v>
      </c>
      <c r="F13" s="29">
        <f>O13*0.33</f>
        <v>0.33</v>
      </c>
      <c r="G13" s="49" t="s">
        <v>7</v>
      </c>
      <c r="H13" s="48"/>
      <c r="I13" s="29">
        <f>E13+50*O13</f>
        <v>150</v>
      </c>
      <c r="J13" s="48"/>
      <c r="K13" s="6"/>
      <c r="L13" s="6"/>
      <c r="M13" s="6"/>
      <c r="N13" s="7"/>
      <c r="O13" s="11">
        <f>1+0.1*(B13+C13)</f>
        <v>1</v>
      </c>
    </row>
    <row r="14" spans="1:15" ht="15.75">
      <c r="A14" s="27">
        <v>9</v>
      </c>
      <c r="B14" s="27"/>
      <c r="C14" s="27"/>
      <c r="D14" s="47">
        <f>O14+0.2</f>
        <v>1.4</v>
      </c>
      <c r="E14" s="47">
        <f>190+50*D14</f>
        <v>260</v>
      </c>
      <c r="F14" s="29"/>
      <c r="G14" s="49" t="s">
        <v>15</v>
      </c>
      <c r="H14" s="47">
        <f>D14/(30+10*D14)</f>
        <v>0.031818181818181815</v>
      </c>
      <c r="I14" s="29"/>
      <c r="J14" s="29"/>
      <c r="K14" s="6"/>
      <c r="L14" s="6"/>
      <c r="M14" s="6"/>
      <c r="N14" s="1"/>
      <c r="O14" s="11">
        <f>1+0.1*(B14+C14+2)</f>
        <v>1.2</v>
      </c>
    </row>
    <row r="15" spans="2:3" ht="12.75">
      <c r="B15" s="25" t="s">
        <v>84</v>
      </c>
      <c r="C15" s="25"/>
    </row>
    <row r="18" spans="3:17" ht="15">
      <c r="C18" s="20" t="s">
        <v>24</v>
      </c>
      <c r="D18" s="21"/>
      <c r="E18" s="2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3:17" ht="19.5">
      <c r="C19" s="20" t="s">
        <v>60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3:17" ht="15">
      <c r="C20" s="20" t="s">
        <v>35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3:17" ht="15">
      <c r="C21" s="20" t="s">
        <v>36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P5" sqref="P5"/>
    </sheetView>
  </sheetViews>
  <sheetFormatPr defaultColWidth="9.00390625" defaultRowHeight="12.75"/>
  <sheetData>
    <row r="1" spans="2:18" ht="12.75">
      <c r="B1" s="18"/>
      <c r="C1" s="16"/>
      <c r="D1" s="17" t="s">
        <v>61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2:18" ht="12.75">
      <c r="B2" s="18" t="s">
        <v>87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4" spans="1:17" ht="17.25">
      <c r="A4" s="45" t="s">
        <v>4</v>
      </c>
      <c r="B4" s="45" t="s">
        <v>27</v>
      </c>
      <c r="C4" s="45" t="s">
        <v>28</v>
      </c>
      <c r="D4" s="46" t="s">
        <v>37</v>
      </c>
      <c r="E4" s="46" t="s">
        <v>38</v>
      </c>
      <c r="F4" s="46" t="s">
        <v>39</v>
      </c>
      <c r="G4" s="46" t="s">
        <v>40</v>
      </c>
      <c r="H4" s="50" t="s">
        <v>56</v>
      </c>
      <c r="I4" s="50" t="s">
        <v>41</v>
      </c>
      <c r="J4" s="46" t="s">
        <v>42</v>
      </c>
      <c r="K4" s="46" t="s">
        <v>43</v>
      </c>
      <c r="L4" s="46" t="s">
        <v>44</v>
      </c>
      <c r="M4" s="46" t="s">
        <v>45</v>
      </c>
      <c r="N4" s="50" t="s">
        <v>57</v>
      </c>
      <c r="O4" s="50" t="s">
        <v>46</v>
      </c>
      <c r="P4" s="10"/>
      <c r="Q4" s="12" t="s">
        <v>2</v>
      </c>
    </row>
    <row r="5" spans="1:17" ht="14.25">
      <c r="A5" s="45"/>
      <c r="B5" s="45"/>
      <c r="C5" s="45"/>
      <c r="D5" s="46" t="s">
        <v>47</v>
      </c>
      <c r="E5" s="46" t="s">
        <v>47</v>
      </c>
      <c r="F5" s="51" t="s">
        <v>48</v>
      </c>
      <c r="G5" s="51" t="s">
        <v>48</v>
      </c>
      <c r="H5" s="26" t="s">
        <v>58</v>
      </c>
      <c r="I5" s="51" t="s">
        <v>49</v>
      </c>
      <c r="J5" s="52" t="s">
        <v>50</v>
      </c>
      <c r="K5" s="46" t="s">
        <v>47</v>
      </c>
      <c r="L5" s="51" t="s">
        <v>48</v>
      </c>
      <c r="M5" s="51" t="s">
        <v>48</v>
      </c>
      <c r="N5" s="26" t="s">
        <v>58</v>
      </c>
      <c r="O5" s="51" t="s">
        <v>49</v>
      </c>
      <c r="P5" s="7"/>
      <c r="Q5" s="11"/>
    </row>
    <row r="6" spans="1:17" ht="15.75">
      <c r="A6" s="27">
        <v>0</v>
      </c>
      <c r="B6" s="27"/>
      <c r="C6" s="27"/>
      <c r="D6" s="29">
        <f aca="true" t="shared" si="0" ref="D6:D12">700+10*Q6</f>
        <v>722</v>
      </c>
      <c r="E6" s="47">
        <f>10+(B6+C6+10)*0.5</f>
        <v>15</v>
      </c>
      <c r="F6" s="47">
        <f>22+C6*0.8+B6/2</f>
        <v>22</v>
      </c>
      <c r="G6" s="47"/>
      <c r="H6" s="29"/>
      <c r="I6" s="29"/>
      <c r="J6" s="53" t="s">
        <v>51</v>
      </c>
      <c r="K6" s="47"/>
      <c r="L6" s="47">
        <f>F6+Q6*10</f>
        <v>44</v>
      </c>
      <c r="M6" s="47"/>
      <c r="N6" s="29"/>
      <c r="O6" s="29"/>
      <c r="P6" s="1"/>
      <c r="Q6" s="11">
        <f>2+0.2*(B6+C6+1)</f>
        <v>2.2</v>
      </c>
    </row>
    <row r="7" spans="1:17" ht="15.75">
      <c r="A7" s="27">
        <v>1</v>
      </c>
      <c r="B7" s="27"/>
      <c r="C7" s="27"/>
      <c r="D7" s="29">
        <f t="shared" si="0"/>
        <v>722</v>
      </c>
      <c r="E7" s="47">
        <f>10+(B7+C7+10)*0.5</f>
        <v>15</v>
      </c>
      <c r="F7" s="47">
        <f>60+C7*1.2+B7*1.5</f>
        <v>60</v>
      </c>
      <c r="G7" s="47"/>
      <c r="H7" s="29"/>
      <c r="I7" s="29"/>
      <c r="J7" s="53" t="s">
        <v>52</v>
      </c>
      <c r="K7" s="47"/>
      <c r="L7" s="47">
        <f>22+B7*0.8+C7/2</f>
        <v>22</v>
      </c>
      <c r="M7" s="47"/>
      <c r="N7" s="29"/>
      <c r="O7" s="29"/>
      <c r="P7" s="8"/>
      <c r="Q7" s="11">
        <f>2+0.2*(B7+C7+1)</f>
        <v>2.2</v>
      </c>
    </row>
    <row r="8" spans="1:17" ht="15.75">
      <c r="A8" s="27">
        <v>2</v>
      </c>
      <c r="B8" s="27"/>
      <c r="C8" s="27"/>
      <c r="D8" s="29">
        <f t="shared" si="0"/>
        <v>722</v>
      </c>
      <c r="E8" s="47"/>
      <c r="F8" s="47"/>
      <c r="G8" s="47">
        <f>10+Q8*1.5</f>
        <v>13.3</v>
      </c>
      <c r="H8" s="29">
        <f>5+0.5*(B7+C7)</f>
        <v>5</v>
      </c>
      <c r="I8" s="29"/>
      <c r="J8" s="53" t="s">
        <v>53</v>
      </c>
      <c r="K8" s="47"/>
      <c r="L8" s="47"/>
      <c r="M8" s="47"/>
      <c r="N8" s="29">
        <f>45+2*C8+3*B8</f>
        <v>45</v>
      </c>
      <c r="O8" s="29"/>
      <c r="P8" s="1"/>
      <c r="Q8" s="11">
        <f>2+0.2*(B8+C8+1)</f>
        <v>2.2</v>
      </c>
    </row>
    <row r="9" spans="1:17" ht="15.75">
      <c r="A9" s="27">
        <v>3</v>
      </c>
      <c r="B9" s="27"/>
      <c r="C9" s="27"/>
      <c r="D9" s="29">
        <f t="shared" si="0"/>
        <v>710</v>
      </c>
      <c r="E9" s="47"/>
      <c r="F9" s="47">
        <f>25+Q9</f>
        <v>26</v>
      </c>
      <c r="G9" s="47"/>
      <c r="H9" s="29"/>
      <c r="I9" s="29"/>
      <c r="J9" s="53" t="s">
        <v>51</v>
      </c>
      <c r="K9" s="47"/>
      <c r="L9" s="47"/>
      <c r="M9" s="47">
        <f>20+Q9</f>
        <v>21</v>
      </c>
      <c r="N9" s="29">
        <f>5+Q9</f>
        <v>6</v>
      </c>
      <c r="O9" s="29"/>
      <c r="P9" s="7"/>
      <c r="Q9" s="11">
        <f>1+0.3*(B9+C9)</f>
        <v>1</v>
      </c>
    </row>
    <row r="10" spans="1:17" ht="15.75">
      <c r="A10" s="27">
        <v>4</v>
      </c>
      <c r="B10" s="27"/>
      <c r="C10" s="27"/>
      <c r="D10" s="29">
        <f t="shared" si="0"/>
        <v>710</v>
      </c>
      <c r="E10" s="47"/>
      <c r="F10" s="47">
        <f>60+Q10</f>
        <v>61</v>
      </c>
      <c r="G10" s="47"/>
      <c r="H10" s="29"/>
      <c r="I10" s="29">
        <f>14+Q10*1.5</f>
        <v>15.5</v>
      </c>
      <c r="J10" s="53" t="s">
        <v>52</v>
      </c>
      <c r="K10" s="47"/>
      <c r="L10" s="47">
        <f>24+Q10</f>
        <v>25</v>
      </c>
      <c r="M10" s="47"/>
      <c r="N10" s="29"/>
      <c r="O10" s="29"/>
      <c r="P10" s="1"/>
      <c r="Q10" s="11">
        <f>1+0.3*(B10+C10)</f>
        <v>1</v>
      </c>
    </row>
    <row r="11" spans="1:17" ht="15.75">
      <c r="A11" s="27">
        <v>5</v>
      </c>
      <c r="B11" s="27"/>
      <c r="C11" s="27"/>
      <c r="D11" s="29">
        <f t="shared" si="0"/>
        <v>720</v>
      </c>
      <c r="E11" s="47"/>
      <c r="F11" s="29">
        <f>62+Q11*2</f>
        <v>66</v>
      </c>
      <c r="G11" s="29"/>
      <c r="H11" s="29"/>
      <c r="I11" s="29"/>
      <c r="J11" s="53" t="s">
        <v>53</v>
      </c>
      <c r="K11" s="47"/>
      <c r="L11" s="29"/>
      <c r="M11" s="29"/>
      <c r="N11" s="29">
        <f>60+Q11*5.5</f>
        <v>71</v>
      </c>
      <c r="O11" s="29">
        <f>26+1.5*Q11</f>
        <v>29</v>
      </c>
      <c r="P11" s="8"/>
      <c r="Q11" s="11">
        <f>1+0.2*(B11+C11+5)</f>
        <v>2</v>
      </c>
    </row>
    <row r="12" spans="1:17" ht="15.75">
      <c r="A12" s="27">
        <v>6</v>
      </c>
      <c r="B12" s="27"/>
      <c r="C12" s="27"/>
      <c r="D12" s="29">
        <f t="shared" si="0"/>
        <v>712</v>
      </c>
      <c r="E12" s="29"/>
      <c r="F12" s="47"/>
      <c r="G12" s="47"/>
      <c r="H12" s="29">
        <f>70+0.8*Q12+B12+C12</f>
        <v>70.96</v>
      </c>
      <c r="I12" s="29"/>
      <c r="J12" s="53" t="s">
        <v>51</v>
      </c>
      <c r="K12" s="29">
        <f>15+Q12*2</f>
        <v>17.4</v>
      </c>
      <c r="L12" s="47">
        <f>60+B12+C12+Q12</f>
        <v>61.2</v>
      </c>
      <c r="M12" s="47"/>
      <c r="N12" s="29"/>
      <c r="O12" s="29"/>
      <c r="P12" s="1"/>
      <c r="Q12" s="11">
        <f>1.2+0.2*(B12+C12)</f>
        <v>1.2</v>
      </c>
    </row>
    <row r="13" spans="1:17" ht="15.75">
      <c r="A13" s="27">
        <v>7</v>
      </c>
      <c r="B13" s="27"/>
      <c r="C13" s="27"/>
      <c r="D13" s="29">
        <f>700+4*(Q13+2)</f>
        <v>726</v>
      </c>
      <c r="E13" s="29"/>
      <c r="F13" s="47">
        <f>60+C13*1.2+B13*1.5+Q13</f>
        <v>64.5</v>
      </c>
      <c r="G13" s="47">
        <f>13+Q13*1.2</f>
        <v>18.4</v>
      </c>
      <c r="H13" s="29"/>
      <c r="I13" s="29"/>
      <c r="J13" s="53" t="s">
        <v>52</v>
      </c>
      <c r="K13" s="29"/>
      <c r="L13" s="47">
        <f>20+Q13</f>
        <v>24.5</v>
      </c>
      <c r="M13" s="47"/>
      <c r="N13" s="29"/>
      <c r="O13" s="29"/>
      <c r="P13" s="7"/>
      <c r="Q13" s="11">
        <f>2+0.5*(B13+C13+5)</f>
        <v>4.5</v>
      </c>
    </row>
    <row r="14" spans="1:17" ht="15.75">
      <c r="A14" s="27">
        <v>8</v>
      </c>
      <c r="B14" s="27"/>
      <c r="C14" s="27"/>
      <c r="D14" s="29">
        <f>720+4*Q14</f>
        <v>738</v>
      </c>
      <c r="E14" s="47"/>
      <c r="F14" s="47"/>
      <c r="G14" s="47"/>
      <c r="H14" s="29">
        <f>5+0.5*(B13+C13+2)</f>
        <v>6</v>
      </c>
      <c r="I14" s="29">
        <f>7+Q14*1.2</f>
        <v>12.399999999999999</v>
      </c>
      <c r="J14" s="53" t="s">
        <v>53</v>
      </c>
      <c r="K14" s="47"/>
      <c r="L14" s="47"/>
      <c r="M14" s="47"/>
      <c r="N14" s="29"/>
      <c r="O14" s="29">
        <f>7+I14*1.2</f>
        <v>21.879999999999995</v>
      </c>
      <c r="P14" s="1"/>
      <c r="Q14" s="11">
        <f>2+0.5*(B14+C14+5)</f>
        <v>4.5</v>
      </c>
    </row>
    <row r="15" spans="1:17" ht="15.75">
      <c r="A15" s="27">
        <v>9</v>
      </c>
      <c r="B15" s="27"/>
      <c r="C15" s="27"/>
      <c r="D15" s="29">
        <f>715+10*Q15</f>
        <v>729</v>
      </c>
      <c r="E15" s="47"/>
      <c r="F15" s="47"/>
      <c r="G15" s="47"/>
      <c r="H15" s="29">
        <f>70+0.8*Q15+B15+C15</f>
        <v>71.12</v>
      </c>
      <c r="I15" s="48"/>
      <c r="J15" s="53" t="s">
        <v>51</v>
      </c>
      <c r="K15" s="47"/>
      <c r="L15" s="47">
        <f>50+Q15*10</f>
        <v>64</v>
      </c>
      <c r="M15" s="47">
        <f>20+Q15+(B15/4+C15/5)</f>
        <v>21.4</v>
      </c>
      <c r="N15" s="48"/>
      <c r="O15" s="48"/>
      <c r="Q15" s="11">
        <f>1+0.1*(B15+C15+4)</f>
        <v>1.4</v>
      </c>
    </row>
    <row r="16" spans="2:3" ht="12.75">
      <c r="B16" s="25" t="s">
        <v>84</v>
      </c>
      <c r="C16" s="25"/>
    </row>
    <row r="20" spans="3:17" ht="15">
      <c r="C20" s="20" t="s">
        <v>24</v>
      </c>
      <c r="D20" s="21"/>
      <c r="E20" s="2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3:17" ht="19.5">
      <c r="C21" s="20" t="s">
        <v>60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3:17" ht="15">
      <c r="C22" s="20" t="s">
        <v>54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3:17" ht="15">
      <c r="C23" s="20" t="s">
        <v>55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Chuhin</dc:creator>
  <cp:keywords/>
  <dc:description/>
  <cp:lastModifiedBy>Chuhin</cp:lastModifiedBy>
  <dcterms:created xsi:type="dcterms:W3CDTF">2013-06-20T12:39:30Z</dcterms:created>
  <dcterms:modified xsi:type="dcterms:W3CDTF">2014-06-28T06:50:11Z</dcterms:modified>
  <cp:category/>
  <cp:version/>
  <cp:contentType/>
  <cp:contentStatus/>
</cp:coreProperties>
</file>